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D7283FBD-A271-421A-9771-063256C69524}" xr6:coauthVersionLast="38" xr6:coauthVersionMax="38" xr10:uidLastSave="{00000000-0000-0000-0000-000000000000}"/>
  <bookViews>
    <workbookView xWindow="480" yWindow="300" windowWidth="18490" windowHeight="10920" xr2:uid="{00000000-000D-0000-FFFF-FFFF00000000}"/>
  </bookViews>
  <sheets>
    <sheet name="calcul" sheetId="1" r:id="rId1"/>
    <sheet name="menu" sheetId="2" r:id="rId2"/>
    <sheet name="Feuil3" sheetId="3" r:id="rId3"/>
  </sheets>
  <definedNames>
    <definedName name="bolus">menu!$D$17:$D$18</definedName>
    <definedName name="concmida">menu!$C$4:$C$6</definedName>
    <definedName name="CONCMORPH">menu!$C$9:$C$11</definedName>
    <definedName name="CONCOXY">menu!$C$14</definedName>
    <definedName name="DOSEAMPOXY">menu!$D$14</definedName>
    <definedName name="DOSEMIDA">menu!$D$4:$D$6</definedName>
    <definedName name="DOSEMRPH">menu!$D$9:$D$11</definedName>
    <definedName name="PRODUIT">menu!$B$16:$B$18</definedName>
    <definedName name="unité">menu!$E$17:$E$18</definedName>
    <definedName name="VOLAAMPMORPH">menu!$E$9:$E$11</definedName>
    <definedName name="VOLAMPOXY">menu!$E$14</definedName>
    <definedName name="VOLMIDA">menu!$E$4:$E$6</definedName>
    <definedName name="_xlnm.Print_Area" localSheetId="0">calcul!$C$38:$E$78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0" i="1" l="1"/>
  <c r="C16" i="1"/>
  <c r="E67" i="1"/>
  <c r="E68" i="1"/>
  <c r="E69" i="1"/>
  <c r="E70" i="1"/>
  <c r="E66" i="1"/>
  <c r="C78" i="1" l="1"/>
  <c r="C73" i="1"/>
  <c r="C76" i="1" s="1"/>
  <c r="C72" i="1"/>
  <c r="C75" i="1" s="1"/>
  <c r="C43" i="1" l="1"/>
  <c r="D24" i="1" l="1"/>
  <c r="D25" i="1" s="1"/>
  <c r="C48" i="1" s="1"/>
  <c r="C52" i="1" l="1"/>
  <c r="F7" i="1"/>
  <c r="C53" i="1" s="1"/>
  <c r="D23" i="1" l="1"/>
  <c r="D18" i="1"/>
  <c r="C46" i="1"/>
  <c r="C45" i="1"/>
  <c r="C14" i="1"/>
  <c r="C13" i="1"/>
  <c r="C12" i="1"/>
  <c r="C11" i="1"/>
  <c r="C25" i="1"/>
  <c r="C24" i="1"/>
  <c r="C23" i="1"/>
  <c r="C22" i="1"/>
  <c r="C19" i="1"/>
  <c r="C18" i="1"/>
  <c r="B18" i="2"/>
  <c r="B17" i="2"/>
  <c r="B16" i="2"/>
  <c r="D61" i="1"/>
  <c r="D32" i="1" l="1"/>
  <c r="I32" i="1" s="1"/>
  <c r="D74" i="1"/>
  <c r="D72" i="1"/>
  <c r="C47" i="1"/>
  <c r="D27" i="1"/>
  <c r="D31" i="1"/>
  <c r="D19" i="1"/>
  <c r="D26" i="1"/>
  <c r="C50" i="1" s="1"/>
  <c r="C49" i="1"/>
  <c r="D57" i="1" l="1"/>
  <c r="D75" i="1"/>
  <c r="D73" i="1"/>
  <c r="I31" i="1"/>
  <c r="I33" i="1" s="1"/>
  <c r="D33" i="1" s="1"/>
  <c r="D56" i="1"/>
  <c r="D60" i="1" s="1"/>
</calcChain>
</file>

<file path=xl/sharedStrings.xml><?xml version="1.0" encoding="utf-8"?>
<sst xmlns="http://schemas.openxmlformats.org/spreadsheetml/2006/main" count="89" uniqueCount="53">
  <si>
    <t>mg/ml</t>
  </si>
  <si>
    <t>ml/h</t>
  </si>
  <si>
    <t>mg/h</t>
  </si>
  <si>
    <t>ml</t>
  </si>
  <si>
    <t>mg</t>
  </si>
  <si>
    <t>DOSES CIBLES</t>
  </si>
  <si>
    <t>bolus</t>
  </si>
  <si>
    <t>débit de base</t>
  </si>
  <si>
    <t>débit volumétrique</t>
  </si>
  <si>
    <t>dose volumétrique</t>
  </si>
  <si>
    <t>volume poche</t>
  </si>
  <si>
    <t>volume EPPI</t>
  </si>
  <si>
    <t>intervalle de sécurité</t>
  </si>
  <si>
    <t>volume à perfuser</t>
  </si>
  <si>
    <t>min</t>
  </si>
  <si>
    <t>/h</t>
  </si>
  <si>
    <t>HYPNOVEL</t>
  </si>
  <si>
    <t>MORPHINE</t>
  </si>
  <si>
    <t>DOSEAMPMIDA</t>
  </si>
  <si>
    <t>VOLAMPMIDA</t>
  </si>
  <si>
    <t>CONCMIDA</t>
  </si>
  <si>
    <t>VOLAMPMORPH</t>
  </si>
  <si>
    <t>DOSEAMPMORPH</t>
  </si>
  <si>
    <t>CONCMORPH</t>
  </si>
  <si>
    <t>OXYCODONE</t>
  </si>
  <si>
    <t>CONCOXY</t>
  </si>
  <si>
    <t>DOSEAMPOXY</t>
  </si>
  <si>
    <t>VOLAMPOXY</t>
  </si>
  <si>
    <t xml:space="preserve">CHOISIR Produit et doses cibles cases jaunes les orangées sont automatiquement calculées </t>
  </si>
  <si>
    <t>4 vérifier les débits et doses de bolus calculés</t>
  </si>
  <si>
    <t>Dose maxi</t>
  </si>
  <si>
    <t>unité</t>
  </si>
  <si>
    <t>Nbre maxi de bolus</t>
  </si>
  <si>
    <t>ml/jour</t>
  </si>
  <si>
    <t>jours</t>
  </si>
  <si>
    <t>pour</t>
  </si>
  <si>
    <t>bolus/jour</t>
  </si>
  <si>
    <t>Durée prévisible de la poche</t>
  </si>
  <si>
    <t>(faire simplement imprimer)</t>
  </si>
  <si>
    <t>CHOISIR les ampoules utiliser cases jaunes</t>
  </si>
  <si>
    <t>Administration IV</t>
  </si>
  <si>
    <t>soit débit Horaire maxi (pour pompes CHRD)</t>
  </si>
  <si>
    <t>ATTENTION réglage de la pompe EN DÉBIT VOLUMETRIQUE +++</t>
  </si>
  <si>
    <t>imprimer la prescription après avoir complété intervalle de sécurité et dose maxi (cases jaunes)</t>
  </si>
  <si>
    <t>verification</t>
  </si>
  <si>
    <t xml:space="preserve">Attention utiliser EXCLUSIVEMENT les ampoules </t>
  </si>
  <si>
    <t>contenant la concentretaion prescrite +++ soit</t>
  </si>
  <si>
    <t xml:space="preserve">signature et date : </t>
  </si>
  <si>
    <t>MODIFICATION DOSE (code 0011)</t>
  </si>
  <si>
    <t>et bolus</t>
  </si>
  <si>
    <t>Nom Prénom DDN</t>
  </si>
  <si>
    <t>Petitechimio Justine 21/12/2112</t>
  </si>
  <si>
    <t>Attention utilisez à titre pédagogique uniquement TDR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</si>
</sst>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2" fillId="0" borderId="0" xfId="0" applyFont="1"/>
    <xf numFmtId="0" fontId="2" fillId="3" borderId="0" xfId="0" applyFont="1" applyFill="1"/>
    <xf numFmtId="0" fontId="1" fillId="0" borderId="1" xfId="0" applyFont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quotePrefix="1"/>
    <xf numFmtId="1" fontId="2" fillId="3" borderId="0" xfId="0" applyNumberFormat="1" applyFont="1" applyFill="1"/>
    <xf numFmtId="0" fontId="0" fillId="2" borderId="0" xfId="0" applyFill="1"/>
    <xf numFmtId="0" fontId="0" fillId="0" borderId="0" xfId="0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/>
    <xf numFmtId="0" fontId="5" fillId="0" borderId="0" xfId="0" applyFont="1"/>
    <xf numFmtId="0" fontId="1" fillId="4" borderId="1" xfId="0" applyFont="1" applyFill="1" applyBorder="1"/>
    <xf numFmtId="164" fontId="0" fillId="0" borderId="0" xfId="0" applyNumberFormat="1"/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0" fillId="4" borderId="0" xfId="1" applyNumberFormat="1" applyFont="1" applyFill="1" applyProtection="1">
      <protection locked="0"/>
    </xf>
    <xf numFmtId="0" fontId="5" fillId="0" borderId="0" xfId="0" applyFont="1" applyAlignment="1">
      <alignment horizontal="left" vertical="top"/>
    </xf>
    <xf numFmtId="1" fontId="7" fillId="0" borderId="0" xfId="0" applyNumberFormat="1" applyFont="1"/>
    <xf numFmtId="0" fontId="0" fillId="4" borderId="1" xfId="0" applyFill="1" applyBorder="1" applyProtection="1"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9"/>
  <sheetViews>
    <sheetView tabSelected="1" topLeftCell="A54" workbookViewId="0">
      <selection activeCell="F6" sqref="F6"/>
    </sheetView>
  </sheetViews>
  <sheetFormatPr baseColWidth="10" defaultRowHeight="14.5" x14ac:dyDescent="0.35"/>
  <cols>
    <col min="1" max="1" width="16.1796875" bestFit="1" customWidth="1"/>
    <col min="2" max="2" width="3.453125" customWidth="1"/>
    <col min="3" max="3" width="44.6328125" customWidth="1"/>
    <col min="4" max="4" width="8.36328125" customWidth="1"/>
    <col min="5" max="5" width="6.36328125" bestFit="1" customWidth="1"/>
    <col min="6" max="6" width="5.36328125" bestFit="1" customWidth="1"/>
    <col min="7" max="7" width="3.453125" bestFit="1" customWidth="1"/>
    <col min="8" max="8" width="10.36328125" bestFit="1" customWidth="1"/>
  </cols>
  <sheetData>
    <row r="2" spans="2:9" ht="15.5" x14ac:dyDescent="0.35">
      <c r="B2" s="10">
        <v>1</v>
      </c>
      <c r="C2" s="10" t="s">
        <v>28</v>
      </c>
      <c r="D2" s="10"/>
    </row>
    <row r="5" spans="2:9" x14ac:dyDescent="0.35">
      <c r="C5" s="2" t="s">
        <v>5</v>
      </c>
      <c r="D5" s="2" t="s">
        <v>7</v>
      </c>
      <c r="E5" s="2"/>
      <c r="F5" s="2" t="s">
        <v>6</v>
      </c>
      <c r="G5" s="2"/>
    </row>
    <row r="6" spans="2:9" x14ac:dyDescent="0.35">
      <c r="C6" s="28" t="s">
        <v>17</v>
      </c>
      <c r="D6" s="28">
        <v>6</v>
      </c>
      <c r="E6" s="2" t="s">
        <v>2</v>
      </c>
      <c r="F6" s="28">
        <v>4</v>
      </c>
      <c r="G6" s="2" t="s">
        <v>4</v>
      </c>
    </row>
    <row r="7" spans="2:9" x14ac:dyDescent="0.35">
      <c r="C7" s="28" t="s">
        <v>16</v>
      </c>
      <c r="D7" s="28">
        <v>0.5</v>
      </c>
      <c r="E7" s="2" t="s">
        <v>2</v>
      </c>
      <c r="F7" s="23">
        <f>+(F6/D6)*D7</f>
        <v>0.33333333333333331</v>
      </c>
      <c r="G7" s="2" t="s">
        <v>4</v>
      </c>
    </row>
    <row r="8" spans="2:9" x14ac:dyDescent="0.35">
      <c r="C8" s="1"/>
      <c r="D8" s="9"/>
      <c r="E8" s="1"/>
      <c r="F8" s="9"/>
      <c r="G8" s="1"/>
    </row>
    <row r="9" spans="2:9" ht="15.5" x14ac:dyDescent="0.35">
      <c r="B9" s="10">
        <v>2</v>
      </c>
      <c r="C9" s="12" t="s">
        <v>39</v>
      </c>
      <c r="F9" s="9"/>
      <c r="G9" s="1"/>
    </row>
    <row r="10" spans="2:9" x14ac:dyDescent="0.35">
      <c r="C10" s="9"/>
      <c r="F10" s="9"/>
      <c r="G10" s="1"/>
      <c r="I10">
        <v>4</v>
      </c>
    </row>
    <row r="11" spans="2:9" x14ac:dyDescent="0.35">
      <c r="C11" s="2" t="str">
        <f>+CONCATENATE("concentration de ",C6)</f>
        <v>concentration de MORPHINE</v>
      </c>
      <c r="D11" s="28">
        <v>10</v>
      </c>
      <c r="E11" s="2" t="s">
        <v>0</v>
      </c>
      <c r="F11" s="9"/>
      <c r="G11" s="1"/>
    </row>
    <row r="12" spans="2:9" x14ac:dyDescent="0.35">
      <c r="C12" s="2" t="str">
        <f>+CONCATENATE("volume ampoule de ",C6)</f>
        <v>volume ampoule de MORPHINE</v>
      </c>
      <c r="D12" s="28">
        <v>10</v>
      </c>
      <c r="E12" s="2" t="s">
        <v>3</v>
      </c>
      <c r="F12" s="9"/>
      <c r="G12" s="1"/>
    </row>
    <row r="13" spans="2:9" x14ac:dyDescent="0.35">
      <c r="C13" s="2" t="str">
        <f>+CONCATENATE("concentration de ",C7)</f>
        <v>concentration de HYPNOVEL</v>
      </c>
      <c r="D13" s="28">
        <v>5</v>
      </c>
      <c r="E13" s="2" t="s">
        <v>0</v>
      </c>
      <c r="F13" s="9"/>
      <c r="G13" s="1"/>
    </row>
    <row r="14" spans="2:9" x14ac:dyDescent="0.35">
      <c r="C14" s="2" t="str">
        <f>+CONCATENATE("volume ampoule de ",C7)</f>
        <v>volume ampoule de HYPNOVEL</v>
      </c>
      <c r="D14" s="28">
        <v>10</v>
      </c>
      <c r="E14" s="2" t="s">
        <v>3</v>
      </c>
      <c r="F14" s="9"/>
      <c r="G14" s="1"/>
    </row>
    <row r="16" spans="2:9" ht="15.5" x14ac:dyDescent="0.35">
      <c r="B16" s="10">
        <v>3</v>
      </c>
      <c r="C16" s="10" t="str">
        <f>+CONCATENATE("compléter le volume de la poche et la dose choisie de ",C6)</f>
        <v>compléter le volume de la poche et la dose choisie de MORPHINE</v>
      </c>
      <c r="D16" s="10"/>
      <c r="E16" s="10"/>
    </row>
    <row r="18" spans="2:10" x14ac:dyDescent="0.35">
      <c r="C18" t="str">
        <f>+CONCATENATE(C6, ": concentration réelle")</f>
        <v>MORPHINE: concentration réelle</v>
      </c>
      <c r="D18">
        <f>+D22/D21</f>
        <v>5</v>
      </c>
      <c r="E18" t="s">
        <v>0</v>
      </c>
    </row>
    <row r="19" spans="2:10" x14ac:dyDescent="0.35">
      <c r="C19" t="str">
        <f>+CONCATENATE(C7, ": concentration réelle")</f>
        <v>HYPNOVEL: concentration réelle</v>
      </c>
      <c r="D19">
        <f>+D24/D21</f>
        <v>0.42</v>
      </c>
      <c r="E19" t="s">
        <v>0</v>
      </c>
    </row>
    <row r="21" spans="2:10" x14ac:dyDescent="0.35">
      <c r="C21" t="s">
        <v>10</v>
      </c>
      <c r="D21" s="34">
        <v>100</v>
      </c>
      <c r="E21" t="s">
        <v>3</v>
      </c>
    </row>
    <row r="22" spans="2:10" x14ac:dyDescent="0.35">
      <c r="C22" t="str">
        <f>+CONCATENATE("dose ", C6)</f>
        <v>dose MORPHINE</v>
      </c>
      <c r="D22" s="28">
        <v>500</v>
      </c>
      <c r="E22" t="s">
        <v>4</v>
      </c>
    </row>
    <row r="23" spans="2:10" x14ac:dyDescent="0.35">
      <c r="C23" t="str">
        <f>+CONCATENATE("volume à utiliser de ",C6)</f>
        <v>volume à utiliser de MORPHINE</v>
      </c>
      <c r="D23">
        <f>+D22/D11</f>
        <v>50</v>
      </c>
      <c r="E23" t="s">
        <v>3</v>
      </c>
    </row>
    <row r="24" spans="2:10" x14ac:dyDescent="0.35">
      <c r="C24" t="str">
        <f>+CONCATENATE("dose  ",C7)</f>
        <v>dose  HYPNOVEL</v>
      </c>
      <c r="D24" s="24">
        <f>+ROUND((D22*D7)/D6,0)</f>
        <v>42</v>
      </c>
      <c r="E24" t="s">
        <v>4</v>
      </c>
    </row>
    <row r="25" spans="2:10" x14ac:dyDescent="0.35">
      <c r="C25" t="str">
        <f>+CONCATENATE("volume à utiliser ",C7)</f>
        <v>volume à utiliser HYPNOVEL</v>
      </c>
      <c r="D25" s="24">
        <f>+ROUND(D24/D13,0)</f>
        <v>8</v>
      </c>
      <c r="E25" t="s">
        <v>3</v>
      </c>
    </row>
    <row r="26" spans="2:10" ht="21" x14ac:dyDescent="0.5">
      <c r="C26" t="s">
        <v>11</v>
      </c>
      <c r="D26" s="33">
        <f>+D21-(D23+D25)</f>
        <v>42</v>
      </c>
      <c r="E26" t="s">
        <v>3</v>
      </c>
    </row>
    <row r="27" spans="2:10" x14ac:dyDescent="0.35">
      <c r="C27" t="s">
        <v>44</v>
      </c>
      <c r="D27" s="32" t="str">
        <f>+IF((D23+D25)&lt;D21,"OK","diminuer morphine")</f>
        <v>OK</v>
      </c>
    </row>
    <row r="29" spans="2:10" ht="15.5" x14ac:dyDescent="0.35">
      <c r="B29" s="10" t="s">
        <v>29</v>
      </c>
      <c r="C29" s="10"/>
    </row>
    <row r="31" spans="2:10" ht="15.5" x14ac:dyDescent="0.35">
      <c r="C31" s="5" t="s">
        <v>8</v>
      </c>
      <c r="D31" s="5">
        <f>+D6/D18</f>
        <v>1.2</v>
      </c>
      <c r="E31" s="5" t="s">
        <v>1</v>
      </c>
      <c r="I31">
        <f>+D31*24</f>
        <v>28.799999999999997</v>
      </c>
      <c r="J31" t="s">
        <v>33</v>
      </c>
    </row>
    <row r="32" spans="2:10" ht="15.5" x14ac:dyDescent="0.35">
      <c r="C32" s="5" t="s">
        <v>9</v>
      </c>
      <c r="D32" s="5">
        <f>+F6/D18</f>
        <v>0.8</v>
      </c>
      <c r="E32" s="5" t="s">
        <v>3</v>
      </c>
      <c r="I32">
        <f>+D32*G33</f>
        <v>4.8000000000000007</v>
      </c>
      <c r="J32" t="s">
        <v>33</v>
      </c>
    </row>
    <row r="33" spans="1:9" ht="15.5" x14ac:dyDescent="0.35">
      <c r="C33" s="5" t="s">
        <v>37</v>
      </c>
      <c r="D33" s="19">
        <f>+D21/I33</f>
        <v>2.9761904761904767</v>
      </c>
      <c r="E33" s="5" t="s">
        <v>34</v>
      </c>
      <c r="F33" s="21" t="s">
        <v>35</v>
      </c>
      <c r="G33" s="20">
        <v>6</v>
      </c>
      <c r="H33" t="s">
        <v>36</v>
      </c>
      <c r="I33">
        <f>+I31+I32</f>
        <v>33.599999999999994</v>
      </c>
    </row>
    <row r="34" spans="1:9" ht="15.5" x14ac:dyDescent="0.35">
      <c r="C34" s="13"/>
      <c r="D34" s="13"/>
      <c r="E34" s="13"/>
    </row>
    <row r="35" spans="1:9" ht="15.5" x14ac:dyDescent="0.35">
      <c r="B35" s="10">
        <v>5</v>
      </c>
      <c r="C35" s="14" t="s">
        <v>43</v>
      </c>
      <c r="D35" s="13"/>
      <c r="E35" s="13"/>
    </row>
    <row r="36" spans="1:9" ht="15.5" x14ac:dyDescent="0.35">
      <c r="C36" s="13" t="s">
        <v>38</v>
      </c>
      <c r="D36" s="13"/>
      <c r="E36" s="13"/>
    </row>
    <row r="37" spans="1:9" ht="15.5" x14ac:dyDescent="0.35">
      <c r="C37" s="13"/>
      <c r="D37" s="13"/>
      <c r="E37" s="13"/>
    </row>
    <row r="38" spans="1:9" ht="15.5" x14ac:dyDescent="0.35">
      <c r="A38" t="s">
        <v>50</v>
      </c>
      <c r="C38" s="4" t="s">
        <v>51</v>
      </c>
    </row>
    <row r="39" spans="1:9" ht="15.5" x14ac:dyDescent="0.35">
      <c r="C39" s="4"/>
    </row>
    <row r="40" spans="1:9" ht="15.5" x14ac:dyDescent="0.35">
      <c r="C40" s="4" t="s">
        <v>40</v>
      </c>
    </row>
    <row r="41" spans="1:9" ht="15.5" x14ac:dyDescent="0.35">
      <c r="C41" s="4" t="s">
        <v>45</v>
      </c>
    </row>
    <row r="42" spans="1:9" x14ac:dyDescent="0.35">
      <c r="C42" s="25" t="s">
        <v>46</v>
      </c>
    </row>
    <row r="43" spans="1:9" x14ac:dyDescent="0.35">
      <c r="C43" s="25" t="str">
        <f>+CONCATENATE(C6," ",D11,E11," ET ",C7," ",D13,E13)</f>
        <v>MORPHINE 10mg/ml ET HYPNOVEL 5mg/ml</v>
      </c>
    </row>
    <row r="44" spans="1:9" ht="15" thickBot="1" x14ac:dyDescent="0.4">
      <c r="C44" s="25"/>
    </row>
    <row r="45" spans="1:9" x14ac:dyDescent="0.35">
      <c r="C45" s="15" t="str">
        <f>+CONCATENATE("Préparer une poche de ",D21," ml")</f>
        <v>Préparer une poche de 100 ml</v>
      </c>
      <c r="D45" s="7"/>
      <c r="E45" s="7"/>
    </row>
    <row r="46" spans="1:9" x14ac:dyDescent="0.35">
      <c r="C46" s="16" t="str">
        <f>+CONCATENATE("avec ",D22," mg de ",C6)</f>
        <v>avec 500 mg de MORPHINE</v>
      </c>
      <c r="D46" s="7"/>
      <c r="E46" s="7"/>
    </row>
    <row r="47" spans="1:9" x14ac:dyDescent="0.35">
      <c r="C47" s="16" t="str">
        <f>+CONCATENATE("soit ",D23," ",E23," de ",C6," à ",D11," ",E11)</f>
        <v>soit 50 ml de MORPHINE à 10 mg/ml</v>
      </c>
      <c r="D47" s="7"/>
      <c r="E47" s="7"/>
    </row>
    <row r="48" spans="1:9" x14ac:dyDescent="0.35">
      <c r="C48" s="16" t="str">
        <f>+CONCATENATE("ET ",D25*D13," ",E24," de ",C7, )</f>
        <v>ET 40 mg de HYPNOVEL</v>
      </c>
      <c r="D48" s="7"/>
      <c r="E48" s="7"/>
    </row>
    <row r="49" spans="3:5" x14ac:dyDescent="0.35">
      <c r="C49" s="16" t="str">
        <f>+CONCATENATE("soit ",D25," ",E25," de ",C7, " à ",D13," ",E13)</f>
        <v>soit 8 ml de HYPNOVEL à 5 mg/ml</v>
      </c>
      <c r="D49" s="7"/>
      <c r="E49" s="7"/>
    </row>
    <row r="50" spans="3:5" ht="15" thickBot="1" x14ac:dyDescent="0.4">
      <c r="C50" s="17" t="str">
        <f>+CONCATENATE("Compléter avec ", D26," ",E26, " d'EPPI")</f>
        <v>Compléter avec 42 ml d'EPPI</v>
      </c>
      <c r="D50" s="7"/>
      <c r="E50" s="7"/>
    </row>
    <row r="51" spans="3:5" x14ac:dyDescent="0.35">
      <c r="C51" s="7"/>
      <c r="D51" s="7"/>
      <c r="E51" s="7"/>
    </row>
    <row r="52" spans="3:5" x14ac:dyDescent="0.35">
      <c r="C52" s="7" t="str">
        <f>+CONCATENATE("Soit ",D6," mg/h et ", F6," mg de bolus de morphine")</f>
        <v>Soit 6 mg/h et 4 mg de bolus de morphine</v>
      </c>
      <c r="D52" s="7"/>
      <c r="E52" s="7"/>
    </row>
    <row r="53" spans="3:5" x14ac:dyDescent="0.35">
      <c r="C53" s="7" t="str">
        <f>+CONCATENATE("Soit ",D7," mg/h et ", F7," mg de bolus de midazolam")</f>
        <v>Soit 0,5 mg/h et 0,333333333333333 mg de bolus de midazolam</v>
      </c>
      <c r="D53" s="7"/>
    </row>
    <row r="54" spans="3:5" x14ac:dyDescent="0.35">
      <c r="C54" s="6" t="s">
        <v>42</v>
      </c>
      <c r="D54" s="6"/>
      <c r="E54" s="6"/>
    </row>
    <row r="55" spans="3:5" x14ac:dyDescent="0.35">
      <c r="C55" s="6"/>
      <c r="D55" s="6"/>
      <c r="E55" s="6"/>
    </row>
    <row r="56" spans="3:5" x14ac:dyDescent="0.35">
      <c r="C56" s="6" t="s">
        <v>7</v>
      </c>
      <c r="D56" s="6">
        <f>+D31</f>
        <v>1.2</v>
      </c>
      <c r="E56" s="6" t="s">
        <v>1</v>
      </c>
    </row>
    <row r="57" spans="3:5" x14ac:dyDescent="0.35">
      <c r="C57" s="6" t="s">
        <v>6</v>
      </c>
      <c r="D57" s="6">
        <f>+D32</f>
        <v>0.8</v>
      </c>
      <c r="E57" s="6" t="s">
        <v>3</v>
      </c>
    </row>
    <row r="58" spans="3:5" x14ac:dyDescent="0.35">
      <c r="C58" s="6" t="s">
        <v>12</v>
      </c>
      <c r="D58" s="29">
        <v>10</v>
      </c>
      <c r="E58" s="6" t="s">
        <v>14</v>
      </c>
    </row>
    <row r="59" spans="3:5" x14ac:dyDescent="0.35">
      <c r="C59" s="26" t="s">
        <v>32</v>
      </c>
      <c r="D59" s="29">
        <v>4</v>
      </c>
      <c r="E59" s="22" t="s">
        <v>15</v>
      </c>
    </row>
    <row r="60" spans="3:5" x14ac:dyDescent="0.35">
      <c r="C60" s="22" t="s">
        <v>41</v>
      </c>
      <c r="D60" s="22">
        <f>+D56+(D57*D59)+D57/2</f>
        <v>4.8000000000000007</v>
      </c>
      <c r="E60" s="22" t="s">
        <v>1</v>
      </c>
    </row>
    <row r="61" spans="3:5" x14ac:dyDescent="0.35">
      <c r="C61" s="6" t="s">
        <v>13</v>
      </c>
      <c r="D61" s="6">
        <f>+D21</f>
        <v>100</v>
      </c>
      <c r="E61" s="6" t="s">
        <v>3</v>
      </c>
    </row>
    <row r="62" spans="3:5" x14ac:dyDescent="0.35">
      <c r="C62" s="11" t="s">
        <v>47</v>
      </c>
      <c r="D62" s="7"/>
      <c r="E62" s="7"/>
    </row>
    <row r="64" spans="3:5" x14ac:dyDescent="0.35">
      <c r="C64" s="11" t="s">
        <v>48</v>
      </c>
    </row>
    <row r="65" spans="3:5" x14ac:dyDescent="0.35">
      <c r="C65" s="11"/>
      <c r="D65" s="21" t="s">
        <v>1</v>
      </c>
    </row>
    <row r="66" spans="3:5" x14ac:dyDescent="0.35">
      <c r="C66" s="22" t="s">
        <v>7</v>
      </c>
      <c r="D66" s="31">
        <v>1.5</v>
      </c>
      <c r="E66" t="str">
        <f>+E56</f>
        <v>ml/h</v>
      </c>
    </row>
    <row r="67" spans="3:5" x14ac:dyDescent="0.35">
      <c r="C67" s="22" t="s">
        <v>6</v>
      </c>
      <c r="D67" s="31">
        <v>1.5</v>
      </c>
      <c r="E67" t="str">
        <f t="shared" ref="E67:E70" si="0">+E57</f>
        <v>ml</v>
      </c>
    </row>
    <row r="68" spans="3:5" x14ac:dyDescent="0.35">
      <c r="C68" s="22" t="s">
        <v>12</v>
      </c>
      <c r="D68" s="30">
        <v>15</v>
      </c>
      <c r="E68" t="str">
        <f t="shared" si="0"/>
        <v>min</v>
      </c>
    </row>
    <row r="69" spans="3:5" x14ac:dyDescent="0.35">
      <c r="C69" s="22" t="s">
        <v>32</v>
      </c>
      <c r="D69" s="30">
        <v>2</v>
      </c>
      <c r="E69" t="str">
        <f t="shared" si="0"/>
        <v>/h</v>
      </c>
    </row>
    <row r="70" spans="3:5" x14ac:dyDescent="0.35">
      <c r="C70" s="26" t="s">
        <v>41</v>
      </c>
      <c r="D70" s="22">
        <f>+D66+(D67*D69)+D67/2</f>
        <v>5.25</v>
      </c>
      <c r="E70" t="str">
        <f t="shared" si="0"/>
        <v>ml/h</v>
      </c>
    </row>
    <row r="72" spans="3:5" x14ac:dyDescent="0.35">
      <c r="C72" s="11" t="str">
        <f>+C6</f>
        <v>MORPHINE</v>
      </c>
      <c r="D72">
        <f>+D66*D18</f>
        <v>7.5</v>
      </c>
      <c r="E72" t="s">
        <v>2</v>
      </c>
    </row>
    <row r="73" spans="3:5" x14ac:dyDescent="0.35">
      <c r="C73" s="11" t="str">
        <f>+C7</f>
        <v>HYPNOVEL</v>
      </c>
      <c r="D73" s="27">
        <f>+D66*D19</f>
        <v>0.63</v>
      </c>
      <c r="E73" t="s">
        <v>2</v>
      </c>
    </row>
    <row r="74" spans="3:5" x14ac:dyDescent="0.35">
      <c r="C74" t="s">
        <v>49</v>
      </c>
      <c r="D74">
        <f>+D67*D18</f>
        <v>7.5</v>
      </c>
      <c r="E74" t="s">
        <v>4</v>
      </c>
    </row>
    <row r="75" spans="3:5" x14ac:dyDescent="0.35">
      <c r="C75" t="str">
        <f>+C72</f>
        <v>MORPHINE</v>
      </c>
      <c r="D75" s="27">
        <f>+D67*D19</f>
        <v>0.63</v>
      </c>
      <c r="E75" t="s">
        <v>4</v>
      </c>
    </row>
    <row r="76" spans="3:5" x14ac:dyDescent="0.35">
      <c r="C76" t="str">
        <f>+C73</f>
        <v>HYPNOVEL</v>
      </c>
    </row>
    <row r="78" spans="3:5" x14ac:dyDescent="0.35">
      <c r="C78" t="str">
        <f>+C62</f>
        <v xml:space="preserve">signature et date : </v>
      </c>
    </row>
    <row r="79" spans="3:5" x14ac:dyDescent="0.35">
      <c r="C79" t="s">
        <v>52</v>
      </c>
    </row>
  </sheetData>
  <sheetProtection algorithmName="SHA-512" hashValue="77u0bpKinmor6fE3buo2gHKVUGPUHqXyvuxmUkMmDUn7MCHX2ZSN077P+uPYcuSkEcD4/GdAv1pRw2qFFVK/sQ==" saltValue="oPMdjsfbkxBvcIiyR3tjNw==" spinCount="100000" sheet="1" objects="1" scenarios="1" selectLockedCells="1"/>
  <phoneticPr fontId="4" type="noConversion"/>
  <dataValidations count="3">
    <dataValidation type="list" allowBlank="1" showInputMessage="1" showErrorMessage="1" sqref="C6:C8" xr:uid="{00000000-0002-0000-0000-000000000000}">
      <formula1>PRODUIT</formula1>
    </dataValidation>
    <dataValidation type="list" allowBlank="1" showInputMessage="1" showErrorMessage="1" sqref="C59 C69" xr:uid="{00000000-0002-0000-0000-000001000000}">
      <formula1>bolus</formula1>
    </dataValidation>
    <dataValidation type="list" allowBlank="1" showInputMessage="1" showErrorMessage="1" sqref="E59:E60" xr:uid="{00000000-0002-0000-0000-000002000000}">
      <formula1>unité</formula1>
    </dataValidation>
  </dataValidations>
  <pageMargins left="0.70866141732283472" right="0.70866141732283472" top="1.79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8"/>
  <sheetViews>
    <sheetView workbookViewId="0">
      <selection activeCell="D18" sqref="D18"/>
    </sheetView>
  </sheetViews>
  <sheetFormatPr baseColWidth="10" defaultRowHeight="14.5" x14ac:dyDescent="0.35"/>
  <cols>
    <col min="2" max="2" width="12.36328125" bestFit="1" customWidth="1"/>
    <col min="3" max="3" width="18.54296875" bestFit="1" customWidth="1"/>
    <col min="4" max="4" width="14.6328125" bestFit="1" customWidth="1"/>
    <col min="5" max="5" width="29.90625" bestFit="1" customWidth="1"/>
  </cols>
  <sheetData>
    <row r="3" spans="2:5" x14ac:dyDescent="0.35">
      <c r="B3" s="3" t="s">
        <v>16</v>
      </c>
      <c r="C3" s="3" t="s">
        <v>20</v>
      </c>
      <c r="D3" s="3" t="s">
        <v>18</v>
      </c>
      <c r="E3" s="3" t="s">
        <v>19</v>
      </c>
    </row>
    <row r="4" spans="2:5" x14ac:dyDescent="0.35">
      <c r="B4" s="3"/>
      <c r="C4" s="8">
        <v>5</v>
      </c>
      <c r="D4" s="8">
        <v>50</v>
      </c>
      <c r="E4" s="8">
        <v>10</v>
      </c>
    </row>
    <row r="5" spans="2:5" x14ac:dyDescent="0.35">
      <c r="B5" s="3"/>
      <c r="C5" s="8">
        <v>5</v>
      </c>
      <c r="D5" s="8">
        <v>5</v>
      </c>
      <c r="E5" s="8">
        <v>1</v>
      </c>
    </row>
    <row r="6" spans="2:5" x14ac:dyDescent="0.35">
      <c r="B6" s="3"/>
      <c r="C6" s="8">
        <v>1</v>
      </c>
      <c r="D6" s="8">
        <v>5</v>
      </c>
      <c r="E6" s="8">
        <v>5</v>
      </c>
    </row>
    <row r="7" spans="2:5" x14ac:dyDescent="0.35">
      <c r="B7" s="3"/>
      <c r="C7" s="3"/>
      <c r="D7" s="3"/>
      <c r="E7" s="3"/>
    </row>
    <row r="8" spans="2:5" x14ac:dyDescent="0.35">
      <c r="B8" s="3" t="s">
        <v>17</v>
      </c>
      <c r="C8" s="3" t="s">
        <v>23</v>
      </c>
      <c r="D8" s="3" t="s">
        <v>22</v>
      </c>
      <c r="E8" s="3" t="s">
        <v>21</v>
      </c>
    </row>
    <row r="9" spans="2:5" x14ac:dyDescent="0.35">
      <c r="B9" s="3"/>
      <c r="C9" s="8">
        <v>1</v>
      </c>
      <c r="D9" s="8">
        <v>10</v>
      </c>
      <c r="E9" s="8">
        <v>1</v>
      </c>
    </row>
    <row r="10" spans="2:5" x14ac:dyDescent="0.35">
      <c r="B10" s="3"/>
      <c r="C10" s="8">
        <v>10</v>
      </c>
      <c r="D10" s="8">
        <v>100</v>
      </c>
      <c r="E10" s="8">
        <v>10</v>
      </c>
    </row>
    <row r="11" spans="2:5" x14ac:dyDescent="0.35">
      <c r="B11" s="3"/>
      <c r="C11" s="8">
        <v>40</v>
      </c>
      <c r="D11" s="8">
        <v>400</v>
      </c>
      <c r="E11" s="8">
        <v>10</v>
      </c>
    </row>
    <row r="12" spans="2:5" x14ac:dyDescent="0.35">
      <c r="B12" s="3"/>
      <c r="C12" s="8"/>
      <c r="D12" s="8"/>
      <c r="E12" s="8"/>
    </row>
    <row r="13" spans="2:5" x14ac:dyDescent="0.35">
      <c r="B13" s="3" t="s">
        <v>24</v>
      </c>
      <c r="C13" s="3" t="s">
        <v>25</v>
      </c>
      <c r="D13" s="3" t="s">
        <v>26</v>
      </c>
      <c r="E13" s="3" t="s">
        <v>27</v>
      </c>
    </row>
    <row r="14" spans="2:5" x14ac:dyDescent="0.35">
      <c r="B14" s="3"/>
      <c r="C14" s="8">
        <v>10</v>
      </c>
      <c r="D14" s="8">
        <v>200</v>
      </c>
      <c r="E14" s="8">
        <v>20</v>
      </c>
    </row>
    <row r="16" spans="2:5" x14ac:dyDescent="0.35">
      <c r="B16" t="str">
        <f>+B3</f>
        <v>HYPNOVEL</v>
      </c>
      <c r="D16" t="s">
        <v>6</v>
      </c>
      <c r="E16" t="s">
        <v>31</v>
      </c>
    </row>
    <row r="17" spans="2:5" x14ac:dyDescent="0.35">
      <c r="B17" t="str">
        <f>++B8</f>
        <v>MORPHINE</v>
      </c>
      <c r="D17" t="s">
        <v>32</v>
      </c>
      <c r="E17" t="s">
        <v>1</v>
      </c>
    </row>
    <row r="18" spans="2:5" x14ac:dyDescent="0.35">
      <c r="B18" t="str">
        <f>+B13</f>
        <v>OXYCODONE</v>
      </c>
      <c r="D18" t="s">
        <v>30</v>
      </c>
      <c r="E18" s="18" t="s">
        <v>15</v>
      </c>
    </row>
  </sheetData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honeticPr fontId="4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13</vt:i4>
      </vt:variant>
    </vt:vector>
  </HeadingPairs>
  <TitlesOfParts>
    <vt:vector size="16" baseType="lpstr">
      <vt:lpstr>calcul</vt:lpstr>
      <vt:lpstr>menu</vt:lpstr>
      <vt:lpstr>Feuil3</vt:lpstr>
      <vt:lpstr>bolus</vt:lpstr>
      <vt:lpstr>concmida</vt:lpstr>
      <vt:lpstr>CONCMORPH</vt:lpstr>
      <vt:lpstr>CONCOXY</vt:lpstr>
      <vt:lpstr>DOSEAMPOXY</vt:lpstr>
      <vt:lpstr>DOSEMIDA</vt:lpstr>
      <vt:lpstr>DOSEMRPH</vt:lpstr>
      <vt:lpstr>PRODUIT</vt:lpstr>
      <vt:lpstr>unité</vt:lpstr>
      <vt:lpstr>VOLAAMPMORPH</vt:lpstr>
      <vt:lpstr>VOLAMPOXY</vt:lpstr>
      <vt:lpstr>VOLMIDA</vt:lpstr>
      <vt:lpstr>calcul!Zone_d_impression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2017-06-10T10:39:16Z</cp:lastPrinted>
  <dcterms:created xsi:type="dcterms:W3CDTF">2006-09-12T15:06:44Z</dcterms:created>
  <dcterms:modified xsi:type="dcterms:W3CDTF">2018-11-11T16:35:53Z</dcterms:modified>
</cp:coreProperties>
</file>